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35" windowWidth="15600" windowHeight="7170" activeTab="0"/>
  </bookViews>
  <sheets>
    <sheet name="Data" sheetId="1" r:id="rId1"/>
    <sheet name="calculation" sheetId="2" r:id="rId2"/>
  </sheets>
  <externalReferences>
    <externalReference r:id="rId5"/>
    <externalReference r:id="rId6"/>
    <externalReference r:id="rId7"/>
  </externalReferences>
  <definedNames>
    <definedName name="Clr">'[1]Data in put'!$D$60,'[1]Data in put'!$D$62:$E$68,'[1]Data in put'!$F$69:$O$70,'[1]Data in put'!$F$72:$O$76,'[1]Data in put'!$A$80:$O$83,'[1]Data in put'!$F$95:$O$99,'[1]Data in put'!$F$101:$O$105,'[1]Data in put'!$B$108:$E$110,'[1]Data in put'!$G$108:$O$110</definedName>
    <definedName name="Clrform">'[1]Data in put'!$F$15:$O$30,'[1]Data in put'!$B$32:$C$32,'[1]Data in put'!$E$32:$F$32,'[1]Data in put'!$H$32:$I$32,'[1]Data in put'!$K$32,'[1]Data in put'!$F$40:$O$47,'[1]Data in put'!$F$49:$O$55</definedName>
    <definedName name="newclr">'[2]Data in put'!$G$71:$L$77,'[2]Data in put'!$B$81:$L$84,'[2]Data in put'!$G$88:$L$92,'[2]Data in put'!$D$94:$F$94,'[2]Data in put'!$I$94:$L$94,'[2]Data in put'!$G$95:$L$96</definedName>
    <definedName name="newclrform">'[2]Data in put'!$G$16:$L$32,'[2]Data in put'!$G$34:$L$36,'[2]Data in put'!$G$38:$L$46,'[2]Data in put'!$G$48:$L$55,'[2]Data in put'!$D$59:$E$59,'[2]Data in put'!$D$61:$E$67,'[2]Data in put'!$B$70:$L$70</definedName>
    <definedName name="newtdslist">#REF!</definedName>
    <definedName name="_xlnm.Print_Area" localSheetId="1">'calculation'!$A$1:$J$41</definedName>
    <definedName name="tdslist">"$#REF!.$#REF!$#REF!:$#REF!$#REF!"</definedName>
    <definedName name="tdslist_1">'[2]RUPEES'!#REF!</definedName>
    <definedName name="tdslist_2">'[2]COMMA'!#REF!</definedName>
    <definedName name="tdslist_5">"$'COMMA NEW'.$#REF!$#REF!:$#REF!$#REF!"</definedName>
    <definedName name="Z_1B2688E9_3E2F_443E_A700_74E26275BF8E_.wvu.PrintArea" localSheetId="1" hidden="1">'calculation'!$A$1:$J$41</definedName>
    <definedName name="Z_1B2688E9_3E2F_443E_A700_74E26275BF8E_.wvu.Rows" localSheetId="1" hidden="1">'calculation'!$30:$38</definedName>
    <definedName name="Z_6F20C1A9_5B52_42FD_9B70_17396B65308F_.wvu.Cols" localSheetId="1" hidden="1">'calculation'!$O:$IV</definedName>
    <definedName name="Z_6F20C1A9_5B52_42FD_9B70_17396B65308F_.wvu.PrintArea" localSheetId="1" hidden="1">'calculation'!$A$1:$J$41</definedName>
    <definedName name="Z_6F20C1A9_5B52_42FD_9B70_17396B65308F_.wvu.Rows" localSheetId="1" hidden="1">'calculation'!$30:$38</definedName>
    <definedName name="Z_BBFF31BE_854A_447B_A156_C06ED2169E96_.wvu.Cols" localSheetId="1" hidden="1">'calculation'!$O:$IV</definedName>
    <definedName name="Z_BBFF31BE_854A_447B_A156_C06ED2169E96_.wvu.PrintArea" localSheetId="1" hidden="1">'calculation'!$A$1:$J$41</definedName>
    <definedName name="Z_BBFF31BE_854A_447B_A156_C06ED2169E96_.wvu.Rows" localSheetId="1" hidden="1">'calculation'!$30:$38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<sst xmlns="http://schemas.openxmlformats.org/spreadsheetml/2006/main" count="55" uniqueCount="42">
  <si>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1. Name of the retired Government Servant     </t>
  </si>
  <si>
    <t>:</t>
  </si>
  <si>
    <t xml:space="preserve">2. Date of  Birth as recorded in the service Book </t>
  </si>
  <si>
    <r>
      <t>3. Date of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entry into Government Service </t>
    </r>
  </si>
  <si>
    <t>Year</t>
  </si>
  <si>
    <t>Month</t>
  </si>
  <si>
    <t>Days</t>
  </si>
  <si>
    <t xml:space="preserve">5. Period of Gross qualifying service :                    </t>
  </si>
  <si>
    <t>c)Less:the period of E.O.L (in days):</t>
  </si>
  <si>
    <t>d)Less: Period of suspension(days):</t>
  </si>
  <si>
    <t>6.NET QUALIFYING SERVICE:</t>
  </si>
  <si>
    <t>YEARS</t>
  </si>
  <si>
    <t>7. Last pay drawn by the Govt. Employee:</t>
  </si>
  <si>
    <t>Last Pay Rs.:</t>
  </si>
  <si>
    <t>D.A Rs.:</t>
  </si>
  <si>
    <r>
      <t xml:space="preserve">10.   </t>
    </r>
    <r>
      <rPr>
        <u val="single"/>
        <sz val="12"/>
        <rFont val="Arial"/>
        <family val="2"/>
      </rPr>
      <t>Family Pension</t>
    </r>
  </si>
  <si>
    <t xml:space="preserve">   1) Enhanced Rate:</t>
  </si>
  <si>
    <t xml:space="preserve">   2) Normal Rate:</t>
  </si>
  <si>
    <t>D.G.Rate</t>
  </si>
  <si>
    <t xml:space="preserve">2. Type of Pension Entitled: </t>
  </si>
  <si>
    <t>Superannuation</t>
  </si>
  <si>
    <t>Family</t>
  </si>
  <si>
    <t>Salary Details</t>
  </si>
  <si>
    <t>Pay Band Pay</t>
  </si>
  <si>
    <t>Gr.Pay:</t>
  </si>
  <si>
    <t>N.P.A:</t>
  </si>
  <si>
    <t>D.A %</t>
  </si>
  <si>
    <t xml:space="preserve">Type of Pension Entitled: </t>
  </si>
  <si>
    <t xml:space="preserve"> Date of  Birth as recorded in the service Book </t>
  </si>
  <si>
    <r>
      <t xml:space="preserve"> Date of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entry into Government Service </t>
    </r>
  </si>
  <si>
    <t xml:space="preserve">Enhanced Rate </t>
  </si>
  <si>
    <t>Normal Rate</t>
  </si>
  <si>
    <t>P.B. Pay</t>
  </si>
  <si>
    <t>4. Date of Retirement :</t>
  </si>
  <si>
    <t>N.P.A %:</t>
  </si>
  <si>
    <t>EOL(Days)</t>
  </si>
  <si>
    <t>Suspend(Days)</t>
  </si>
  <si>
    <t>Non-QualifyingService  Period</t>
  </si>
  <si>
    <t>Qualifying Service:</t>
  </si>
  <si>
    <t>Name of Proposed Pensioner:</t>
  </si>
  <si>
    <t>Only White Cells to be filled in</t>
  </si>
  <si>
    <t>Amiya Sankar Bandopadhyay</t>
  </si>
</sst>
</file>

<file path=xl/styles.xml><?xml version="1.0" encoding="utf-8"?>
<styleSheet xmlns="http://schemas.openxmlformats.org/spreadsheetml/2006/main">
  <numFmts count="27">
    <numFmt numFmtId="5" formatCode="&quot;₹&quot;#,##0;\-&quot;₹&quot;#,##0"/>
    <numFmt numFmtId="6" formatCode="&quot;₹&quot;#,##0;[Red]\-&quot;₹&quot;#,##0"/>
    <numFmt numFmtId="7" formatCode="&quot;₹&quot;#,##0.00;\-&quot;₹&quot;#,##0.00"/>
    <numFmt numFmtId="8" formatCode="&quot;₹&quot;#,##0.00;[Red]\-&quot;₹&quot;#,##0.00"/>
    <numFmt numFmtId="42" formatCode="_-&quot;₹&quot;* #,##0_-;\-&quot;₹&quot;* #,##0_-;_-&quot;₹&quot;* &quot;-&quot;_-;_-@_-"/>
    <numFmt numFmtId="41" formatCode="_-* #,##0_-;\-* #,##0_-;_-* &quot;-&quot;_-;_-@_-"/>
    <numFmt numFmtId="44" formatCode="_-&quot;₹&quot;* #,##0.00_-;\-&quot;₹&quot;* #,##0.00_-;_-&quot;₹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54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20"/>
      <color indexed="60"/>
      <name val="Arial"/>
      <family val="2"/>
    </font>
    <font>
      <i/>
      <sz val="20"/>
      <color indexed="13"/>
      <name val="Arial"/>
      <family val="2"/>
    </font>
    <font>
      <i/>
      <sz val="11"/>
      <color indexed="13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Arial"/>
      <family val="2"/>
    </font>
    <font>
      <sz val="20"/>
      <color theme="5" tint="-0.24997000396251678"/>
      <name val="Arial"/>
      <family val="2"/>
    </font>
    <font>
      <i/>
      <sz val="20"/>
      <color rgb="FFE6DF00"/>
      <name val="Arial"/>
      <family val="2"/>
    </font>
    <font>
      <i/>
      <sz val="11"/>
      <color rgb="FFE6DF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7" applyNumberFormat="0" applyFont="0" applyAlignment="0" applyProtection="0"/>
    <xf numFmtId="0" fontId="52" fillId="27" borderId="8" applyNumberFormat="0" applyAlignment="0" applyProtection="0"/>
    <xf numFmtId="9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6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 indent="2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left" indent="2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vertical="top" wrapText="1"/>
    </xf>
    <xf numFmtId="0" fontId="0" fillId="16" borderId="0" xfId="0" applyFill="1" applyAlignment="1">
      <alignment/>
    </xf>
    <xf numFmtId="0" fontId="3" fillId="16" borderId="0" xfId="0" applyFont="1" applyFill="1" applyBorder="1" applyAlignment="1">
      <alignment vertical="top" wrapText="1"/>
    </xf>
    <xf numFmtId="0" fontId="2" fillId="19" borderId="10" xfId="0" applyFont="1" applyFill="1" applyBorder="1" applyAlignment="1" applyProtection="1">
      <alignment horizontal="center"/>
      <protection hidden="1"/>
    </xf>
    <xf numFmtId="0" fontId="0" fillId="18" borderId="12" xfId="0" applyFill="1" applyBorder="1" applyAlignment="1">
      <alignment/>
    </xf>
    <xf numFmtId="0" fontId="2" fillId="19" borderId="11" xfId="0" applyFont="1" applyFill="1" applyBorder="1" applyAlignment="1" applyProtection="1">
      <alignment horizontal="center"/>
      <protection hidden="1"/>
    </xf>
    <xf numFmtId="0" fontId="2" fillId="19" borderId="12" xfId="0" applyFont="1" applyFill="1" applyBorder="1" applyAlignment="1" applyProtection="1">
      <alignment horizontal="center"/>
      <protection hidden="1"/>
    </xf>
    <xf numFmtId="0" fontId="5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9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3" xfId="0" applyFont="1" applyFill="1" applyBorder="1" applyAlignment="1">
      <alignment horizontal="left"/>
    </xf>
    <xf numFmtId="0" fontId="4" fillId="36" borderId="13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15" borderId="13" xfId="0" applyFill="1" applyBorder="1" applyAlignment="1">
      <alignment/>
    </xf>
    <xf numFmtId="0" fontId="4" fillId="20" borderId="13" xfId="0" applyFont="1" applyFill="1" applyBorder="1" applyAlignment="1">
      <alignment/>
    </xf>
    <xf numFmtId="14" fontId="3" fillId="0" borderId="13" xfId="0" applyNumberFormat="1" applyFont="1" applyBorder="1" applyAlignment="1" applyProtection="1">
      <alignment/>
      <protection locked="0"/>
    </xf>
    <xf numFmtId="0" fontId="0" fillId="14" borderId="13" xfId="0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14" fontId="0" fillId="35" borderId="13" xfId="0" applyNumberFormat="1" applyFont="1" applyFill="1" applyBorder="1" applyAlignment="1" applyProtection="1">
      <alignment/>
      <protection/>
    </xf>
    <xf numFmtId="0" fontId="0" fillId="37" borderId="13" xfId="0" applyFill="1" applyBorder="1" applyAlignment="1">
      <alignment/>
    </xf>
    <xf numFmtId="0" fontId="3" fillId="38" borderId="13" xfId="0" applyFont="1" applyFill="1" applyBorder="1" applyAlignment="1" applyProtection="1">
      <alignment/>
      <protection locked="0"/>
    </xf>
    <xf numFmtId="0" fontId="0" fillId="37" borderId="13" xfId="0" applyFont="1" applyFill="1" applyBorder="1" applyAlignment="1">
      <alignment/>
    </xf>
    <xf numFmtId="0" fontId="56" fillId="33" borderId="0" xfId="0" applyFont="1" applyFill="1" applyAlignment="1" applyProtection="1">
      <alignment horizontal="left" vertical="center"/>
      <protection hidden="1"/>
    </xf>
    <xf numFmtId="0" fontId="4" fillId="18" borderId="11" xfId="0" applyFont="1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57" fillId="33" borderId="0" xfId="0" applyFont="1" applyFill="1" applyAlignment="1">
      <alignment vertical="center"/>
    </xf>
    <xf numFmtId="0" fontId="58" fillId="16" borderId="0" xfId="0" applyFont="1" applyFill="1" applyAlignment="1" applyProtection="1">
      <alignment/>
      <protection locked="0"/>
    </xf>
    <xf numFmtId="0" fontId="0" fillId="39" borderId="14" xfId="0" applyFill="1" applyBorder="1" applyAlignment="1">
      <alignment/>
    </xf>
    <xf numFmtId="0" fontId="0" fillId="34" borderId="15" xfId="0" applyFill="1" applyBorder="1" applyAlignment="1">
      <alignment/>
    </xf>
    <xf numFmtId="0" fontId="4" fillId="9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5" xfId="0" applyFill="1" applyBorder="1" applyAlignment="1">
      <alignment/>
    </xf>
    <xf numFmtId="0" fontId="4" fillId="9" borderId="18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left"/>
    </xf>
    <xf numFmtId="0" fontId="59" fillId="0" borderId="0" xfId="0" applyFont="1" applyBorder="1" applyAlignment="1">
      <alignment/>
    </xf>
    <xf numFmtId="14" fontId="3" fillId="38" borderId="13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0" fillId="16" borderId="11" xfId="0" applyFont="1" applyFill="1" applyBorder="1" applyAlignment="1">
      <alignment horizontal="center"/>
    </xf>
    <xf numFmtId="0" fontId="60" fillId="16" borderId="19" xfId="0" applyFont="1" applyFill="1" applyBorder="1" applyAlignment="1">
      <alignment horizontal="center"/>
    </xf>
    <xf numFmtId="0" fontId="60" fillId="16" borderId="12" xfId="0" applyFont="1" applyFill="1" applyBorder="1" applyAlignment="1">
      <alignment horizontal="center"/>
    </xf>
    <xf numFmtId="0" fontId="0" fillId="38" borderId="13" xfId="0" applyFill="1" applyBorder="1" applyAlignment="1" applyProtection="1">
      <alignment horizontal="left"/>
      <protection locked="0"/>
    </xf>
    <xf numFmtId="0" fontId="2" fillId="14" borderId="13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left"/>
    </xf>
    <xf numFmtId="0" fontId="4" fillId="0" borderId="13" xfId="0" applyFont="1" applyBorder="1" applyAlignment="1" applyProtection="1">
      <alignment horizontal="center"/>
      <protection locked="0"/>
    </xf>
    <xf numFmtId="0" fontId="4" fillId="15" borderId="13" xfId="0" applyFont="1" applyFill="1" applyBorder="1" applyAlignment="1">
      <alignment horizontal="left"/>
    </xf>
    <xf numFmtId="0" fontId="4" fillId="14" borderId="13" xfId="0" applyFont="1" applyFill="1" applyBorder="1" applyAlignment="1">
      <alignment horizontal="left"/>
    </xf>
    <xf numFmtId="176" fontId="7" fillId="40" borderId="13" xfId="44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</xdr:row>
      <xdr:rowOff>28575</xdr:rowOff>
    </xdr:from>
    <xdr:ext cx="5553075" cy="914400"/>
    <xdr:sp>
      <xdr:nvSpPr>
        <xdr:cNvPr id="1" name="Rectangle 1"/>
        <xdr:cNvSpPr>
          <a:spLocks/>
        </xdr:cNvSpPr>
      </xdr:nvSpPr>
      <xdr:spPr>
        <a:xfrm>
          <a:off x="1809750" y="390525"/>
          <a:ext cx="5553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Pension Calculator</a:t>
          </a:r>
        </a:p>
      </xdr:txBody>
    </xdr:sp>
    <xdr:clientData/>
  </xdr:oneCellAnchor>
  <xdr:oneCellAnchor>
    <xdr:from>
      <xdr:col>3</xdr:col>
      <xdr:colOff>742950</xdr:colOff>
      <xdr:row>20</xdr:row>
      <xdr:rowOff>142875</xdr:rowOff>
    </xdr:from>
    <xdr:ext cx="5600700" cy="609600"/>
    <xdr:sp>
      <xdr:nvSpPr>
        <xdr:cNvPr id="2" name="Rectangle 2"/>
        <xdr:cNvSpPr>
          <a:spLocks/>
        </xdr:cNvSpPr>
      </xdr:nvSpPr>
      <xdr:spPr>
        <a:xfrm>
          <a:off x="3352800" y="4410075"/>
          <a:ext cx="5600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Designed by Sri Amiya Kr. Sheth,H/C,ARD Deptt,Bankura</a:t>
          </a:r>
        </a:p>
      </xdr:txBody>
    </xdr:sp>
    <xdr:clientData/>
  </xdr:oneCellAnchor>
  <xdr:twoCellAnchor>
    <xdr:from>
      <xdr:col>14</xdr:col>
      <xdr:colOff>209550</xdr:colOff>
      <xdr:row>2</xdr:row>
      <xdr:rowOff>28575</xdr:rowOff>
    </xdr:from>
    <xdr:to>
      <xdr:col>19</xdr:col>
      <xdr:colOff>76200</xdr:colOff>
      <xdr:row>6</xdr:row>
      <xdr:rowOff>66675</xdr:rowOff>
    </xdr:to>
    <xdr:sp macro="[0]!Clearform">
      <xdr:nvSpPr>
        <xdr:cNvPr id="3" name="Flowchart: Alternate Process 3"/>
        <xdr:cNvSpPr>
          <a:spLocks/>
        </xdr:cNvSpPr>
      </xdr:nvSpPr>
      <xdr:spPr>
        <a:xfrm>
          <a:off x="10315575" y="390525"/>
          <a:ext cx="2305050" cy="685800"/>
        </a:xfrm>
        <a:prstGeom prst="flowChartAlternate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/>
            <a:t>Clear Form</a:t>
          </a:r>
        </a:p>
      </xdr:txBody>
    </xdr:sp>
    <xdr:clientData/>
  </xdr:twoCellAnchor>
  <xdr:twoCellAnchor>
    <xdr:from>
      <xdr:col>14</xdr:col>
      <xdr:colOff>238125</xdr:colOff>
      <xdr:row>7</xdr:row>
      <xdr:rowOff>142875</xdr:rowOff>
    </xdr:from>
    <xdr:to>
      <xdr:col>19</xdr:col>
      <xdr:colOff>104775</xdr:colOff>
      <xdr:row>10</xdr:row>
      <xdr:rowOff>142875</xdr:rowOff>
    </xdr:to>
    <xdr:sp macro="[0]!printform">
      <xdr:nvSpPr>
        <xdr:cNvPr id="4" name="Flowchart: Alternate Process 4"/>
        <xdr:cNvSpPr>
          <a:spLocks/>
        </xdr:cNvSpPr>
      </xdr:nvSpPr>
      <xdr:spPr>
        <a:xfrm>
          <a:off x="10344150" y="1314450"/>
          <a:ext cx="2305050" cy="685800"/>
        </a:xfrm>
        <a:prstGeom prst="flowChartAlternateProcess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/>
            <a:t>Print</a:t>
          </a:r>
        </a:p>
      </xdr:txBody>
    </xdr:sp>
    <xdr:clientData/>
  </xdr:twoCellAnchor>
  <xdr:twoCellAnchor>
    <xdr:from>
      <xdr:col>14</xdr:col>
      <xdr:colOff>276225</xdr:colOff>
      <xdr:row>12</xdr:row>
      <xdr:rowOff>9525</xdr:rowOff>
    </xdr:from>
    <xdr:to>
      <xdr:col>19</xdr:col>
      <xdr:colOff>142875</xdr:colOff>
      <xdr:row>15</xdr:row>
      <xdr:rowOff>85725</xdr:rowOff>
    </xdr:to>
    <xdr:sp macro="[0]!Exitform">
      <xdr:nvSpPr>
        <xdr:cNvPr id="5" name="Flowchart: Alternate Process 5"/>
        <xdr:cNvSpPr>
          <a:spLocks/>
        </xdr:cNvSpPr>
      </xdr:nvSpPr>
      <xdr:spPr>
        <a:xfrm>
          <a:off x="10382250" y="2295525"/>
          <a:ext cx="2305050" cy="685800"/>
        </a:xfrm>
        <a:prstGeom prst="flowChartAlternateProcess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/>
            <a:t>EXit</a:t>
          </a:r>
        </a:p>
      </xdr:txBody>
    </xdr:sp>
    <xdr:clientData/>
  </xdr:twoCellAnchor>
  <xdr:twoCellAnchor editAs="oneCell">
    <xdr:from>
      <xdr:col>3</xdr:col>
      <xdr:colOff>533400</xdr:colOff>
      <xdr:row>20</xdr:row>
      <xdr:rowOff>95250</xdr:rowOff>
    </xdr:from>
    <xdr:to>
      <xdr:col>4</xdr:col>
      <xdr:colOff>523875</xdr:colOff>
      <xdr:row>26</xdr:row>
      <xdr:rowOff>123825</xdr:rowOff>
    </xdr:to>
    <xdr:pic>
      <xdr:nvPicPr>
        <xdr:cNvPr id="6" name="Picture 6" descr="amiy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362450"/>
          <a:ext cx="752475" cy="1000125"/>
        </a:xfrm>
        <a:prstGeom prst="rect">
          <a:avLst/>
        </a:prstGeom>
        <a:noFill/>
        <a:ln w="63500" cmpd="sng">
          <a:solidFill>
            <a:srgbClr val="FF33CC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%20PENSIO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iya's%20Important%20Documents\Amiya\BINDUS%20PENSION\DEATH%20PEN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in%20pu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in put"/>
      <sheetName val="Cover"/>
      <sheetName val="Forwarding"/>
      <sheetName val="form 5"/>
      <sheetName val="Form C"/>
      <sheetName val="S_C_Form"/>
      <sheetName val="calculation"/>
      <sheetName val="L_P_C"/>
      <sheetName val="loans"/>
      <sheetName val="case cert."/>
      <sheetName val="nomination"/>
      <sheetName val="joint photo"/>
      <sheetName val="D_Roll"/>
      <sheetName val="FP Cover"/>
      <sheetName val="FPForwarding"/>
      <sheetName val="Annexure II"/>
      <sheetName val="Annex III"/>
      <sheetName val="DG"/>
      <sheetName val="Form A"/>
      <sheetName val="LTA"/>
    </sheetNames>
    <sheetDataSet>
      <sheetData sheetId="0">
        <row r="15">
          <cell r="F15" t="str">
            <v>DIPANKAR CHAKERBORTY</v>
          </cell>
        </row>
        <row r="16">
          <cell r="F16" t="str">
            <v>NO</v>
          </cell>
        </row>
        <row r="17">
          <cell r="F17" t="str">
            <v>VILLAGE ORGANISER, GR-I</v>
          </cell>
        </row>
        <row r="18">
          <cell r="F18" t="str">
            <v>MALE</v>
          </cell>
        </row>
        <row r="19">
          <cell r="F19" t="str">
            <v>PERMANENT</v>
          </cell>
        </row>
        <row r="20">
          <cell r="F20" t="str">
            <v>LATE ANIL BARAN CHAKERBORTY</v>
          </cell>
        </row>
        <row r="21">
          <cell r="F21" t="str">
            <v>YES</v>
          </cell>
        </row>
        <row r="22">
          <cell r="F22" t="str">
            <v>SMT. PRANATI RANI CHAKERBORTY</v>
          </cell>
          <cell r="J22" t="str">
            <v>Height:</v>
          </cell>
          <cell r="L22" t="str">
            <v>ID Mark:</v>
          </cell>
        </row>
        <row r="23">
          <cell r="F23" t="str">
            <v>WIFE</v>
          </cell>
        </row>
        <row r="24">
          <cell r="F24" t="str">
            <v>FEMALE</v>
          </cell>
        </row>
        <row r="26">
          <cell r="F26" t="str">
            <v>NO</v>
          </cell>
        </row>
        <row r="27">
          <cell r="F27" t="str">
            <v>NO</v>
          </cell>
        </row>
        <row r="28">
          <cell r="F28" t="str">
            <v>NO</v>
          </cell>
        </row>
        <row r="30">
          <cell r="F30" t="str">
            <v>INDIAN / HINDUISM</v>
          </cell>
        </row>
        <row r="32">
          <cell r="B32" t="str">
            <v>Dubrajpur</v>
          </cell>
          <cell r="E32" t="str">
            <v>Garh-Dubrajpur,PS:Chhatna</v>
          </cell>
          <cell r="H32" t="str">
            <v>Bankura</v>
          </cell>
          <cell r="K32">
            <v>722132</v>
          </cell>
        </row>
        <row r="40">
          <cell r="F40" t="str">
            <v>YES</v>
          </cell>
          <cell r="G40" t="str">
            <v>LTA Nominee's Name:</v>
          </cell>
          <cell r="J40" t="str">
            <v>SMT. PRANATI RANI CHAKERBORTY</v>
          </cell>
          <cell r="L40" t="str">
            <v>D.O.B</v>
          </cell>
          <cell r="M40">
            <v>24439</v>
          </cell>
          <cell r="N40" t="str">
            <v>Relation:</v>
          </cell>
          <cell r="O40" t="str">
            <v>WIFE</v>
          </cell>
        </row>
        <row r="41">
          <cell r="F41" t="str">
            <v>SUPERANNUATION </v>
          </cell>
          <cell r="H41" t="str">
            <v>2nd Name:</v>
          </cell>
          <cell r="J41" t="str">
            <v>Debjyoti Chakerborty</v>
          </cell>
          <cell r="L41" t="str">
            <v>D.O.B</v>
          </cell>
          <cell r="M41">
            <v>32607</v>
          </cell>
          <cell r="N41" t="str">
            <v>Relation:</v>
          </cell>
          <cell r="O41" t="str">
            <v>SON</v>
          </cell>
        </row>
        <row r="42">
          <cell r="I42" t="str">
            <v>3rd Name:</v>
          </cell>
          <cell r="J42" t="str">
            <v>Dhruvajyoti Chakerborty</v>
          </cell>
          <cell r="L42" t="str">
            <v>D.O.B</v>
          </cell>
          <cell r="M42">
            <v>33890</v>
          </cell>
          <cell r="N42" t="str">
            <v>Relation:</v>
          </cell>
          <cell r="O42" t="str">
            <v>SON</v>
          </cell>
        </row>
        <row r="44">
          <cell r="F44">
            <v>722155</v>
          </cell>
        </row>
        <row r="45">
          <cell r="H45" t="str">
            <v>Fax No:</v>
          </cell>
        </row>
        <row r="46">
          <cell r="H46" t="str">
            <v>Department Name:</v>
          </cell>
          <cell r="L46" t="str">
            <v>A.R.D. DEPARTMENT</v>
          </cell>
        </row>
        <row r="47">
          <cell r="F47" t="str">
            <v>AGR/WB/53762</v>
          </cell>
        </row>
        <row r="49">
          <cell r="F49">
            <v>19687</v>
          </cell>
        </row>
        <row r="50">
          <cell r="F50">
            <v>31450</v>
          </cell>
        </row>
        <row r="51">
          <cell r="F51">
            <v>41214</v>
          </cell>
        </row>
        <row r="60">
          <cell r="D60">
            <v>3</v>
          </cell>
        </row>
        <row r="62">
          <cell r="D62">
            <v>3600</v>
          </cell>
        </row>
        <row r="63">
          <cell r="D63">
            <v>15210</v>
          </cell>
        </row>
        <row r="65">
          <cell r="D65">
            <v>52</v>
          </cell>
        </row>
        <row r="66">
          <cell r="D66">
            <v>41091</v>
          </cell>
        </row>
        <row r="69">
          <cell r="F69" t="str">
            <v>BANKURA</v>
          </cell>
        </row>
        <row r="70">
          <cell r="F70" t="str">
            <v>BANKURA</v>
          </cell>
        </row>
        <row r="75">
          <cell r="F75" t="str">
            <v>5'8''</v>
          </cell>
        </row>
        <row r="76">
          <cell r="F76" t="str">
            <v>CUT MARK ON THE RIGHT LEG</v>
          </cell>
        </row>
        <row r="80">
          <cell r="A80" t="str">
            <v>PRANATI RANI CHAKERBORTY</v>
          </cell>
          <cell r="D80">
            <v>24439</v>
          </cell>
          <cell r="G80" t="str">
            <v>WIFE</v>
          </cell>
          <cell r="I80" t="str">
            <v>MARRIED</v>
          </cell>
        </row>
        <row r="81">
          <cell r="A81" t="str">
            <v>DEBJYOTI CHAKERBORTY</v>
          </cell>
          <cell r="D81">
            <v>32607</v>
          </cell>
          <cell r="G81" t="str">
            <v>SON</v>
          </cell>
          <cell r="I81" t="str">
            <v>UN-MARRIED</v>
          </cell>
        </row>
        <row r="82">
          <cell r="A82" t="str">
            <v>DHUVAJYOTI CHAKERBORTY</v>
          </cell>
          <cell r="D82">
            <v>33890</v>
          </cell>
          <cell r="G82" t="str">
            <v>SON</v>
          </cell>
          <cell r="I82" t="str">
            <v>UN-MARRIED</v>
          </cell>
        </row>
        <row r="101">
          <cell r="F101" t="str">
            <v>BLOCK LIVESTOCK DEV. OFFICER</v>
          </cell>
        </row>
        <row r="102">
          <cell r="F102" t="str">
            <v>BANKURA-II,KESIAKOL,BANKURA</v>
          </cell>
        </row>
        <row r="103">
          <cell r="F103" t="str">
            <v>BANKURA</v>
          </cell>
        </row>
        <row r="104">
          <cell r="F104" t="str">
            <v>Dr. Puspendu Panja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n put"/>
      <sheetName val="RUPEES"/>
      <sheetName val="COMMA"/>
      <sheetName val="LENGTH "/>
      <sheetName val="Cover"/>
      <sheetName val="Forwarding"/>
      <sheetName val="Annexure II"/>
      <sheetName val="S_C_Form"/>
      <sheetName val="calculation"/>
      <sheetName val="Annex III"/>
      <sheetName val="ANNEX VI"/>
      <sheetName val="loans"/>
      <sheetName val="pay cert"/>
      <sheetName val="LPC"/>
      <sheetName val="nomination"/>
      <sheetName val="photo"/>
      <sheetName val="D_Roll"/>
      <sheetName val="C_S_R_ 1"/>
      <sheetName val="Form A"/>
      <sheetName val="form 5"/>
      <sheetName val="DEATH PENS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in 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7"/>
  <sheetViews>
    <sheetView showGridLines="0" showRowColHeaders="0" tabSelected="1" zoomScalePageLayoutView="0" workbookViewId="0" topLeftCell="A1">
      <selection activeCell="J11" sqref="J11:K11"/>
    </sheetView>
  </sheetViews>
  <sheetFormatPr defaultColWidth="9.140625" defaultRowHeight="12.75"/>
  <cols>
    <col min="2" max="2" width="24.421875" style="0" customWidth="1"/>
    <col min="3" max="3" width="5.57421875" style="0" customWidth="1"/>
    <col min="4" max="4" width="11.421875" style="0" customWidth="1"/>
    <col min="5" max="5" width="13.57421875" style="0" customWidth="1"/>
    <col min="6" max="6" width="11.8515625" style="0" customWidth="1"/>
    <col min="7" max="7" width="10.7109375" style="0" customWidth="1"/>
    <col min="8" max="8" width="10.57421875" style="0" customWidth="1"/>
    <col min="9" max="9" width="1.7109375" style="0" customWidth="1"/>
    <col min="10" max="10" width="14.7109375" style="0" customWidth="1"/>
    <col min="11" max="11" width="12.140625" style="0" customWidth="1"/>
    <col min="12" max="12" width="10.140625" style="0" customWidth="1"/>
    <col min="13" max="13" width="6.421875" style="0" customWidth="1"/>
    <col min="17" max="17" width="0" style="0" hidden="1" customWidth="1"/>
    <col min="23" max="23" width="0.13671875" style="0" customWidth="1"/>
  </cols>
  <sheetData>
    <row r="1" spans="1:2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 t="s">
        <v>20</v>
      </c>
      <c r="R1" s="42"/>
      <c r="S1" s="42"/>
      <c r="T1" s="42"/>
      <c r="U1" s="42"/>
      <c r="V1" s="42"/>
    </row>
    <row r="2" spans="1:23" ht="15.75">
      <c r="A2" s="42"/>
      <c r="B2" s="42"/>
      <c r="C2" s="42"/>
      <c r="D2" s="42"/>
      <c r="E2" s="42"/>
      <c r="F2" s="42"/>
      <c r="G2" s="91" t="s">
        <v>40</v>
      </c>
      <c r="H2" s="92"/>
      <c r="I2" s="92"/>
      <c r="J2" s="93"/>
      <c r="K2" s="42"/>
      <c r="L2" s="42"/>
      <c r="M2" s="42"/>
      <c r="N2" s="42"/>
      <c r="O2" s="42"/>
      <c r="P2" s="42"/>
      <c r="Q2" s="42" t="s">
        <v>21</v>
      </c>
      <c r="R2" s="42"/>
      <c r="S2" s="42"/>
      <c r="T2" s="42"/>
      <c r="U2" s="42"/>
      <c r="V2" s="42"/>
      <c r="W2">
        <v>25</v>
      </c>
    </row>
    <row r="3" spans="1:2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>
        <v>30</v>
      </c>
    </row>
    <row r="4" spans="1:22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6.25" thickBot="1">
      <c r="A9" s="42"/>
      <c r="B9" s="42"/>
      <c r="C9" s="42"/>
      <c r="D9" s="42"/>
      <c r="E9" s="42"/>
      <c r="F9" s="76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5" thickBot="1">
      <c r="A10" s="42"/>
      <c r="B10" s="42"/>
      <c r="C10" s="81" t="s">
        <v>39</v>
      </c>
      <c r="D10" s="83"/>
      <c r="E10" s="77"/>
      <c r="F10" s="84"/>
      <c r="G10" s="84"/>
      <c r="H10" s="85"/>
      <c r="I10" s="78" t="s">
        <v>1</v>
      </c>
      <c r="J10" s="94" t="s">
        <v>41</v>
      </c>
      <c r="K10" s="94"/>
      <c r="L10" s="94"/>
      <c r="M10" s="94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5" thickBot="1">
      <c r="A11" s="42"/>
      <c r="B11" s="42"/>
      <c r="C11" s="82"/>
      <c r="D11" s="50" t="s">
        <v>27</v>
      </c>
      <c r="E11" s="79"/>
      <c r="F11" s="86"/>
      <c r="G11" s="86"/>
      <c r="H11" s="87"/>
      <c r="I11" s="80" t="s">
        <v>1</v>
      </c>
      <c r="J11" s="98" t="s">
        <v>20</v>
      </c>
      <c r="K11" s="98"/>
      <c r="L11" s="53"/>
      <c r="M11" s="54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8.75" thickBot="1">
      <c r="A12" s="42"/>
      <c r="B12" s="42"/>
      <c r="C12" s="95" t="s">
        <v>22</v>
      </c>
      <c r="D12" s="96"/>
      <c r="E12" s="96"/>
      <c r="F12" s="96"/>
      <c r="G12" s="96"/>
      <c r="H12" s="96"/>
      <c r="I12" s="95"/>
      <c r="J12" s="95"/>
      <c r="K12" s="95"/>
      <c r="L12" s="95"/>
      <c r="M12" s="95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5" thickBot="1">
      <c r="A13" s="42"/>
      <c r="B13" s="42"/>
      <c r="C13" s="55"/>
      <c r="D13" s="55"/>
      <c r="E13" s="56" t="s">
        <v>32</v>
      </c>
      <c r="F13" s="52">
        <v>12150</v>
      </c>
      <c r="G13" s="57" t="s">
        <v>24</v>
      </c>
      <c r="H13" s="52">
        <v>3200</v>
      </c>
      <c r="I13" s="51"/>
      <c r="J13" s="58" t="s">
        <v>34</v>
      </c>
      <c r="K13" s="59"/>
      <c r="L13" s="58" t="s">
        <v>26</v>
      </c>
      <c r="M13" s="52">
        <v>65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5.75" thickBot="1">
      <c r="A14" s="42"/>
      <c r="B14" s="42"/>
      <c r="C14" s="60"/>
      <c r="D14" s="99" t="s">
        <v>28</v>
      </c>
      <c r="E14" s="99"/>
      <c r="F14" s="99"/>
      <c r="G14" s="99"/>
      <c r="H14" s="99"/>
      <c r="I14" s="61" t="s">
        <v>1</v>
      </c>
      <c r="J14" s="62">
        <v>20634</v>
      </c>
      <c r="K14" s="101" t="s">
        <v>37</v>
      </c>
      <c r="L14" s="101"/>
      <c r="M14" s="101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7.25" thickBot="1">
      <c r="A15" s="42"/>
      <c r="B15" s="42"/>
      <c r="C15" s="63"/>
      <c r="D15" s="100" t="s">
        <v>29</v>
      </c>
      <c r="E15" s="100"/>
      <c r="F15" s="100"/>
      <c r="G15" s="100"/>
      <c r="H15" s="100"/>
      <c r="I15" s="61" t="str">
        <f>I14</f>
        <v>:</v>
      </c>
      <c r="J15" s="62">
        <v>35964</v>
      </c>
      <c r="K15" s="64" t="s">
        <v>35</v>
      </c>
      <c r="L15" s="64" t="s">
        <v>36</v>
      </c>
      <c r="M15" s="65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5.75" thickBot="1">
      <c r="A16" s="42"/>
      <c r="B16" s="42"/>
      <c r="C16" s="66"/>
      <c r="D16" s="97" t="str">
        <f>IF(J11="Family"," Date of Death:","Date of Retirement :")</f>
        <v>Date of Retirement :</v>
      </c>
      <c r="E16" s="97"/>
      <c r="F16" s="97"/>
      <c r="G16" s="97"/>
      <c r="H16" s="97"/>
      <c r="I16" s="61" t="str">
        <f>I15</f>
        <v>:</v>
      </c>
      <c r="J16" s="89">
        <v>42551</v>
      </c>
      <c r="K16" s="67"/>
      <c r="L16" s="67"/>
      <c r="M16" s="68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20.25" customHeight="1">
      <c r="A17" s="42"/>
      <c r="B17" s="42"/>
      <c r="C17" s="42"/>
      <c r="D17" s="48" t="s">
        <v>38</v>
      </c>
      <c r="E17" s="49"/>
      <c r="F17" s="69" t="str">
        <f>IF(J15="","",calculation!G13&amp;" Years "&amp;calculation!H13&amp;" Months "&amp;calculation!I13&amp;" Days")</f>
        <v>18 Years 0 Months 13 Days</v>
      </c>
      <c r="G17" s="39"/>
      <c r="H17" s="39"/>
      <c r="I17" s="39"/>
      <c r="J17" s="39"/>
      <c r="K17" s="39"/>
      <c r="L17" s="39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30" customHeight="1">
      <c r="A18" s="42"/>
      <c r="B18" s="42"/>
      <c r="C18" s="42"/>
      <c r="D18" s="39"/>
      <c r="E18" s="72" t="str">
        <f>IF(J11="Family","Family Pension:","Superannuation Pension:")</f>
        <v>Superannuation Pension:</v>
      </c>
      <c r="F18" s="72" t="str">
        <f>IF(J11="Family","Death Gratuity:","Retiring Gratuity :")</f>
        <v>Retiring Gratuity :</v>
      </c>
      <c r="G18" s="70" t="s">
        <v>30</v>
      </c>
      <c r="H18" s="71" t="s">
        <v>31</v>
      </c>
      <c r="I18" s="45"/>
      <c r="J18" s="41" t="str">
        <f>IF(J11="Family","","C.V.of PENSION:")</f>
        <v>C.V.of PENSION:</v>
      </c>
      <c r="K18" s="41" t="str">
        <f>IF(J11="Family","","Reduced Pension:")</f>
        <v>Reduced Pension:</v>
      </c>
      <c r="L18" s="40"/>
      <c r="M18" s="43"/>
      <c r="N18" s="43"/>
      <c r="O18" s="43"/>
      <c r="P18" s="42"/>
      <c r="Q18" s="42"/>
      <c r="R18" s="42"/>
      <c r="S18" s="42"/>
      <c r="T18" s="42"/>
      <c r="U18" s="42"/>
      <c r="V18" s="42"/>
    </row>
    <row r="19" spans="1:22" ht="18">
      <c r="A19" s="42"/>
      <c r="B19" s="42"/>
      <c r="C19" s="42"/>
      <c r="D19" s="39"/>
      <c r="E19" s="44">
        <f>IF(F13="","",calculation!G17)</f>
        <v>6908</v>
      </c>
      <c r="F19" s="44">
        <f>IF(F13="","",calculation!G18)</f>
        <v>227952</v>
      </c>
      <c r="G19" s="46">
        <f>IF(F13="","",calculation!G22)</f>
        <v>6908</v>
      </c>
      <c r="H19" s="46">
        <f>IF(F13="","",calculation!G23)</f>
        <v>4605</v>
      </c>
      <c r="I19" s="47"/>
      <c r="J19" s="44">
        <f>IF(F13="","",calculation!G26)</f>
        <v>271680</v>
      </c>
      <c r="K19" s="44">
        <f>IF(F13="","",calculation!G29)</f>
        <v>4145</v>
      </c>
      <c r="L19" s="39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4" customHeight="1">
      <c r="A20" s="42"/>
      <c r="B20" s="42"/>
      <c r="C20" s="42"/>
      <c r="D20" s="39"/>
      <c r="E20" s="75" t="str">
        <f>"Enhanced Family Pension upto: "&amp;TEXT(DATE(YEAR(J16)+7,MONTH(J16),DAY(J14)-1),"dd/mm/yyyy")</f>
        <v>Enhanced Family Pension upto: 27/06/2023</v>
      </c>
      <c r="F20" s="39"/>
      <c r="G20" s="39"/>
      <c r="H20" s="39"/>
      <c r="I20" s="39"/>
      <c r="J20" s="39"/>
      <c r="K20" s="39"/>
      <c r="L20" s="39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2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</sheetData>
  <sheetProtection password="9D08" sheet="1" selectLockedCells="1"/>
  <mergeCells count="8">
    <mergeCell ref="G2:J2"/>
    <mergeCell ref="J10:M10"/>
    <mergeCell ref="C12:M12"/>
    <mergeCell ref="D16:H16"/>
    <mergeCell ref="J11:K11"/>
    <mergeCell ref="D14:H14"/>
    <mergeCell ref="D15:H15"/>
    <mergeCell ref="K14:M14"/>
  </mergeCells>
  <dataValidations count="2">
    <dataValidation type="list" allowBlank="1" showInputMessage="1" showErrorMessage="1" sqref="J11:K11">
      <formula1>$Q$1:$Q$2</formula1>
    </dataValidation>
    <dataValidation type="list" allowBlank="1" showInputMessage="1" showErrorMessage="1" sqref="K13">
      <formula1>$W$2:$W$3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49"/>
  <sheetViews>
    <sheetView zoomScalePageLayoutView="0" workbookViewId="0" topLeftCell="A12">
      <selection activeCell="F39" sqref="F39"/>
    </sheetView>
  </sheetViews>
  <sheetFormatPr defaultColWidth="0" defaultRowHeight="12.75"/>
  <cols>
    <col min="1" max="1" width="5.00390625" style="1" customWidth="1"/>
    <col min="2" max="2" width="9.7109375" style="1" customWidth="1"/>
    <col min="3" max="3" width="10.57421875" style="1" customWidth="1"/>
    <col min="4" max="4" width="8.57421875" style="1" customWidth="1"/>
    <col min="5" max="5" width="11.421875" style="1" customWidth="1"/>
    <col min="6" max="6" width="2.140625" style="1" customWidth="1"/>
    <col min="7" max="7" width="10.28125" style="1" customWidth="1"/>
    <col min="8" max="8" width="12.140625" style="1" customWidth="1"/>
    <col min="9" max="9" width="12.8515625" style="1" customWidth="1"/>
    <col min="10" max="10" width="10.140625" style="1" customWidth="1"/>
    <col min="11" max="11" width="9.7109375" style="1" customWidth="1"/>
    <col min="12" max="13" width="10.140625" style="1" hidden="1" customWidth="1"/>
    <col min="14" max="14" width="14.7109375" style="1" customWidth="1"/>
    <col min="15" max="16384" width="0" style="1" hidden="1" customWidth="1"/>
  </cols>
  <sheetData>
    <row r="1" spans="1:13" ht="12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3"/>
      <c r="L1" s="3"/>
      <c r="M1" s="3"/>
    </row>
    <row r="2" spans="1:13" ht="14.25">
      <c r="A2" s="103" t="s">
        <v>0</v>
      </c>
      <c r="B2" s="103"/>
      <c r="C2" s="103"/>
      <c r="D2" s="103"/>
      <c r="E2" s="103"/>
      <c r="F2" s="5" t="s">
        <v>1</v>
      </c>
      <c r="G2" s="103" t="str">
        <f>Data!J10</f>
        <v>Amiya Sankar Bandopadhyay</v>
      </c>
      <c r="H2" s="103"/>
      <c r="I2" s="103"/>
      <c r="J2" s="103"/>
      <c r="K2" s="4"/>
      <c r="L2" s="4"/>
      <c r="M2" s="4"/>
    </row>
    <row r="3" spans="1:13" ht="14.25">
      <c r="A3" s="4" t="s">
        <v>19</v>
      </c>
      <c r="B3" s="4"/>
      <c r="C3" s="4"/>
      <c r="D3" s="4"/>
      <c r="E3" s="4"/>
      <c r="F3" s="5" t="s">
        <v>1</v>
      </c>
      <c r="G3" s="106" t="str">
        <f>Data!J11</f>
        <v>Superannuation</v>
      </c>
      <c r="H3" s="106"/>
      <c r="I3" s="5"/>
      <c r="J3" s="4"/>
      <c r="K3" s="4"/>
      <c r="L3" s="4"/>
      <c r="M3" s="4"/>
    </row>
    <row r="4" spans="1:13" ht="18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4"/>
      <c r="L4" s="4"/>
      <c r="M4" s="4"/>
    </row>
    <row r="5" spans="1:13" ht="14.25">
      <c r="A5" s="4" t="s">
        <v>23</v>
      </c>
      <c r="B5" s="4"/>
      <c r="C5" s="22">
        <f>Data!F13</f>
        <v>12150</v>
      </c>
      <c r="D5" s="4" t="s">
        <v>24</v>
      </c>
      <c r="E5" s="22">
        <f>Data!H13</f>
        <v>3200</v>
      </c>
      <c r="F5" s="5"/>
      <c r="G5" s="22" t="s">
        <v>25</v>
      </c>
      <c r="H5" s="25">
        <f>(C5+E5)*Data!K13/100</f>
        <v>0</v>
      </c>
      <c r="I5" s="22" t="s">
        <v>26</v>
      </c>
      <c r="J5" s="22">
        <f>Data!M13</f>
        <v>65</v>
      </c>
      <c r="K5" s="4"/>
      <c r="L5" s="4"/>
      <c r="M5" s="4"/>
    </row>
    <row r="6" spans="1:13" ht="15">
      <c r="A6" s="103" t="s">
        <v>2</v>
      </c>
      <c r="B6" s="103"/>
      <c r="C6" s="103"/>
      <c r="D6" s="103"/>
      <c r="E6" s="103"/>
      <c r="F6" s="5" t="str">
        <f>F2</f>
        <v>:</v>
      </c>
      <c r="G6" s="104">
        <f>Data!J14</f>
        <v>20634</v>
      </c>
      <c r="H6" s="105"/>
      <c r="I6" s="105"/>
      <c r="J6" s="6"/>
      <c r="K6" s="6"/>
      <c r="L6" s="6"/>
      <c r="M6" s="6"/>
    </row>
    <row r="7" spans="1:13" ht="16.5">
      <c r="A7" s="103" t="s">
        <v>3</v>
      </c>
      <c r="B7" s="103"/>
      <c r="C7" s="103"/>
      <c r="D7" s="103"/>
      <c r="E7" s="103"/>
      <c r="F7" s="5" t="str">
        <f>F6</f>
        <v>:</v>
      </c>
      <c r="G7" s="104">
        <f>Data!J15</f>
        <v>35964</v>
      </c>
      <c r="H7" s="105"/>
      <c r="I7" s="105"/>
      <c r="J7" s="7"/>
      <c r="K7" s="7"/>
      <c r="L7" t="s">
        <v>18</v>
      </c>
      <c r="M7"/>
    </row>
    <row r="8" spans="1:13" ht="15">
      <c r="A8" s="103" t="s">
        <v>33</v>
      </c>
      <c r="B8" s="103"/>
      <c r="C8" s="103"/>
      <c r="D8" s="103"/>
      <c r="E8" s="103"/>
      <c r="F8" s="5" t="str">
        <f>F7</f>
        <v>:</v>
      </c>
      <c r="G8" s="104">
        <f>Data!J16</f>
        <v>42551</v>
      </c>
      <c r="H8" s="105"/>
      <c r="I8" s="105"/>
      <c r="J8" s="6"/>
      <c r="K8" s="6"/>
      <c r="L8">
        <v>0</v>
      </c>
      <c r="M8" s="38">
        <f>ROUND((C19+E19)*2,0)</f>
        <v>50656</v>
      </c>
    </row>
    <row r="9" spans="6:13" ht="15">
      <c r="F9" s="88"/>
      <c r="G9" s="8" t="s">
        <v>4</v>
      </c>
      <c r="H9" s="8" t="s">
        <v>5</v>
      </c>
      <c r="I9" s="8" t="s">
        <v>6</v>
      </c>
      <c r="L9">
        <v>1</v>
      </c>
      <c r="M9" s="38">
        <f>ROUND((C19+E19)*6,0)</f>
        <v>151968</v>
      </c>
    </row>
    <row r="10" spans="1:13" ht="18.75" customHeight="1">
      <c r="A10" s="103" t="s">
        <v>7</v>
      </c>
      <c r="B10" s="103"/>
      <c r="C10" s="103"/>
      <c r="D10" s="103"/>
      <c r="E10" s="103"/>
      <c r="F10" s="5"/>
      <c r="G10" s="9">
        <f>DATEDIF(G7,G8,"Y")</f>
        <v>18</v>
      </c>
      <c r="H10" s="9">
        <f>DATEDIF(G7,G8,"ym")</f>
        <v>0</v>
      </c>
      <c r="I10" s="10">
        <f>DATEDIF(G7,G8,"md")+1</f>
        <v>13</v>
      </c>
      <c r="J10" s="11"/>
      <c r="K10" s="11"/>
      <c r="L10">
        <v>5</v>
      </c>
      <c r="M10" s="38">
        <f>ROUND((C19+E19)*12,0)</f>
        <v>303936</v>
      </c>
    </row>
    <row r="11" spans="1:13" ht="18.75" customHeight="1">
      <c r="A11" s="12" t="s">
        <v>8</v>
      </c>
      <c r="E11" s="13">
        <f>Data!K16</f>
        <v>0</v>
      </c>
      <c r="F11" s="5"/>
      <c r="G11" s="14">
        <f>INT(INT(E11/30)/12)</f>
        <v>0</v>
      </c>
      <c r="H11" s="14">
        <f>MOD(INT(E11/30),12)</f>
        <v>0</v>
      </c>
      <c r="I11" s="14">
        <f>MOD(E11,30)</f>
        <v>0</v>
      </c>
      <c r="J11" s="11"/>
      <c r="K11" s="11"/>
      <c r="L11">
        <v>20</v>
      </c>
      <c r="M11" s="38">
        <f>ROUND(((C19+E19)*2*G14)/2,0)</f>
        <v>455904</v>
      </c>
    </row>
    <row r="12" spans="1:13" ht="18.75" customHeight="1">
      <c r="A12" s="12" t="s">
        <v>9</v>
      </c>
      <c r="E12" s="13">
        <f>Data!L16</f>
        <v>0</v>
      </c>
      <c r="F12" s="5"/>
      <c r="G12" s="14">
        <f>INT(INT(E12/30)/12)</f>
        <v>0</v>
      </c>
      <c r="H12" s="14">
        <f>MOD(INT(E12/30),12)</f>
        <v>0</v>
      </c>
      <c r="I12" s="14">
        <f>MOD(E12,30)</f>
        <v>0</v>
      </c>
      <c r="J12" s="11"/>
      <c r="K12" s="11"/>
      <c r="L12" s="11"/>
      <c r="M12" s="11"/>
    </row>
    <row r="13" spans="1:13" ht="18.75" customHeight="1">
      <c r="A13" s="2"/>
      <c r="F13" s="5"/>
      <c r="G13" s="15">
        <f>IF(AND(H10&lt;=(H11+H12),I10&lt;(I11+I12)),(G10-(G11+G12)+1),IF(H10&lt;(H11+H12),G10-(G11+G12)-1,(G10-(G11+H12))))</f>
        <v>18</v>
      </c>
      <c r="H13" s="15">
        <f>IF(AND(H10&lt;=(H11+H12),I10&lt;(I11+I12)),((H10+12)-((H11+H12)+1)),IF(AND(H10&gt;(H11+H12),I10&lt;(I11+I12)),(H10-((H11+H12)+1)),IF(H10&lt;(H11+H12),((H10+12)-(H11+H12)),(H10-(H11+H12)))))</f>
        <v>0</v>
      </c>
      <c r="I13" s="15">
        <f>IF(I10&lt;I12+I11,(I10+30)-(I12+I11),(I10-I12))</f>
        <v>13</v>
      </c>
      <c r="J13" s="11"/>
      <c r="K13" s="11"/>
      <c r="L13" s="11"/>
      <c r="M13" s="11"/>
    </row>
    <row r="14" spans="1:13" ht="18.75" customHeight="1">
      <c r="A14" s="16" t="s">
        <v>10</v>
      </c>
      <c r="F14" s="5"/>
      <c r="G14" s="17">
        <f>IF(G13&gt;=33,33,IF(H13&gt;=9,G13+1,IF(H13&gt;=3,G13+0.5,G13)))</f>
        <v>18</v>
      </c>
      <c r="H14" s="18" t="s">
        <v>11</v>
      </c>
      <c r="I14" s="19"/>
      <c r="J14" s="11"/>
      <c r="K14" s="11"/>
      <c r="L14" s="11"/>
      <c r="M14" s="11"/>
    </row>
    <row r="15" spans="1:13" ht="18.75" customHeight="1">
      <c r="A15" s="2"/>
      <c r="F15" s="5"/>
      <c r="H15" s="19"/>
      <c r="I15" s="19"/>
      <c r="J15" s="11"/>
      <c r="K15" s="11"/>
      <c r="L15" s="11"/>
      <c r="M15" s="11"/>
    </row>
    <row r="16" spans="1:14" ht="15.75">
      <c r="A16" s="4" t="s">
        <v>12</v>
      </c>
      <c r="B16" s="4"/>
      <c r="C16" s="4"/>
      <c r="D16" s="4"/>
      <c r="E16" s="4"/>
      <c r="F16" s="5" t="s">
        <v>1</v>
      </c>
      <c r="G16" s="73">
        <f>C5+E5+H5</f>
        <v>15350</v>
      </c>
      <c r="H16" s="21"/>
      <c r="I16" s="21"/>
      <c r="J16" s="6"/>
      <c r="K16" s="6"/>
      <c r="L16" s="6"/>
      <c r="M16" s="6"/>
      <c r="N16"/>
    </row>
    <row r="17" spans="1:9" ht="23.25" customHeight="1">
      <c r="A17" s="103" t="str">
        <f>IF(G3="Family","8.Family Pension:","8. Superannuation Pension:")</f>
        <v>8. Superannuation Pension:</v>
      </c>
      <c r="B17" s="103"/>
      <c r="C17" s="103"/>
      <c r="D17" s="103"/>
      <c r="E17" s="103"/>
      <c r="F17" s="5" t="s">
        <v>1</v>
      </c>
      <c r="G17" s="27">
        <f>IF(G14&lt;10,0,ROUNDUP(IF(($G$16*IF(G14&gt;20,20,G14)*50)/2000&lt;3300,3300,IF(($G$16*IF(G14&gt;20,20,G14)*50)/2000&gt;35000,35000,IF(G14&gt;=20,G16/2,($G$16*G14*50)/2000))),0))</f>
        <v>6908</v>
      </c>
      <c r="H17" s="20"/>
      <c r="I17" s="20"/>
    </row>
    <row r="18" spans="1:9" ht="23.25" customHeight="1">
      <c r="A18" s="5" t="str">
        <f>IF(G3="Family","9.Death Gratuity:","9. Retiring Gratuity :")</f>
        <v>9. Retiring Gratuity :</v>
      </c>
      <c r="B18" s="5"/>
      <c r="C18" s="5"/>
      <c r="D18" s="5"/>
      <c r="E18" s="5"/>
      <c r="F18" s="5" t="s">
        <v>1</v>
      </c>
      <c r="G18" s="27">
        <f>IF(G3="Family",IF(VLOOKUP(G14,L8:M11,2)&gt;600000,600000,VLOOKUP(G14,L8:M11,2)),ROUND(IF(((C19+E19)*2*G14)/4&gt;600000,600000,((C19+E19)*2*G14)/4),0))</f>
        <v>227952</v>
      </c>
      <c r="H18" s="20"/>
      <c r="I18" s="20"/>
    </row>
    <row r="19" spans="1:9" ht="23.25" customHeight="1">
      <c r="A19" s="106" t="s">
        <v>13</v>
      </c>
      <c r="B19" s="106"/>
      <c r="C19" s="23">
        <f>G16</f>
        <v>15350</v>
      </c>
      <c r="D19" s="22" t="s">
        <v>14</v>
      </c>
      <c r="E19" s="23">
        <f>ROUND((C19*(J5/100)),0)</f>
        <v>9978</v>
      </c>
      <c r="F19" s="5"/>
      <c r="G19" s="20"/>
      <c r="H19" s="20"/>
      <c r="I19" s="20"/>
    </row>
    <row r="20" spans="1:9" ht="15">
      <c r="A20" s="24"/>
      <c r="B20" s="24"/>
      <c r="C20" s="24"/>
      <c r="D20" s="24"/>
      <c r="E20" s="24"/>
      <c r="F20" s="24"/>
      <c r="G20" s="25"/>
      <c r="I20" s="25"/>
    </row>
    <row r="21" ht="15">
      <c r="A21" s="2" t="s">
        <v>15</v>
      </c>
    </row>
    <row r="22" spans="1:9" ht="15.75">
      <c r="A22" s="105" t="s">
        <v>16</v>
      </c>
      <c r="B22" s="105"/>
      <c r="C22" s="105"/>
      <c r="D22" s="105"/>
      <c r="E22" s="105"/>
      <c r="F22" s="26" t="s">
        <v>1</v>
      </c>
      <c r="G22" s="21">
        <f>IF(G17&lt;G23,G23,G17)</f>
        <v>6908</v>
      </c>
      <c r="H22" s="20"/>
      <c r="I22" s="20"/>
    </row>
    <row r="23" spans="1:9" ht="15.75">
      <c r="A23" s="105" t="s">
        <v>17</v>
      </c>
      <c r="B23" s="105"/>
      <c r="C23" s="105"/>
      <c r="D23" s="105"/>
      <c r="E23" s="105"/>
      <c r="F23" s="26" t="s">
        <v>1</v>
      </c>
      <c r="G23" s="27">
        <f>ROUNDUP(IF($G$16*30%&lt;3300,3300,IF($G$16*30%&gt;21000,21000,$G$16*30%)),0)</f>
        <v>4605</v>
      </c>
      <c r="H23" s="20"/>
      <c r="I23" s="20"/>
    </row>
    <row r="24" spans="1:9" ht="15">
      <c r="A24" s="109"/>
      <c r="B24" s="109"/>
      <c r="C24" s="109"/>
      <c r="D24" s="109"/>
      <c r="E24" s="109"/>
      <c r="F24" s="26"/>
      <c r="G24" s="105"/>
      <c r="H24" s="105"/>
      <c r="I24" s="105"/>
    </row>
    <row r="25" spans="1:9" ht="15">
      <c r="A25" s="28"/>
      <c r="B25" s="29"/>
      <c r="C25" s="29"/>
      <c r="D25" s="29"/>
      <c r="E25" s="29"/>
      <c r="F25" s="26"/>
      <c r="G25" s="30"/>
      <c r="H25" s="30"/>
      <c r="I25" s="30"/>
    </row>
    <row r="26" spans="1:14" ht="15" customHeight="1">
      <c r="A26" s="108" t="str">
        <f>IF(G3="Family","","11.COMMUTATION VALUE OF PENSION:")</f>
        <v>11.COMMUTATION VALUE OF PENSION:</v>
      </c>
      <c r="B26" s="108"/>
      <c r="C26" s="108"/>
      <c r="D26" s="108"/>
      <c r="E26" s="108"/>
      <c r="F26" s="32" t="str">
        <f>IF(G3="Family","",":")</f>
        <v>:</v>
      </c>
      <c r="G26" s="33">
        <f>IF($G$3="Family","",ROUND(INT($G$17*40%)*98.328,0))</f>
        <v>271680</v>
      </c>
      <c r="I26" s="32"/>
      <c r="J26" s="32"/>
      <c r="K26" s="32"/>
      <c r="L26" s="32"/>
      <c r="M26" s="32"/>
      <c r="N26" s="33">
        <f>IF($G$3="Family","",ROUND(ROUNDUP($G$17*40%,0)*98.328,0))</f>
        <v>271779</v>
      </c>
    </row>
    <row r="27" spans="1:13" ht="17.25" customHeight="1">
      <c r="A27" s="32"/>
      <c r="B27" s="110" t="str">
        <f>IF(G3="Family","","Commuted Amount Rs.")</f>
        <v>Commuted Amount Rs.</v>
      </c>
      <c r="C27" s="110"/>
      <c r="D27" s="110"/>
      <c r="E27" s="90">
        <f>IF($G$3="Family","",INT($G$17*0.4))</f>
        <v>2763</v>
      </c>
      <c r="F27" s="32"/>
      <c r="G27" s="32"/>
      <c r="H27" s="32"/>
      <c r="I27" s="32"/>
      <c r="J27" s="32"/>
      <c r="K27" s="32"/>
      <c r="L27" s="32"/>
      <c r="M27" s="32"/>
    </row>
    <row r="28" spans="1:13" ht="25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4" ht="32.25" customHeight="1">
      <c r="A29" s="108" t="str">
        <f>IF(G3="Family","","12.REDUCED PENSION:")</f>
        <v>12.REDUCED PENSION:</v>
      </c>
      <c r="B29" s="108"/>
      <c r="C29" s="108"/>
      <c r="D29" s="108"/>
      <c r="E29" s="108"/>
      <c r="F29" s="32" t="str">
        <f>IF(G3="Family","",":")</f>
        <v>:</v>
      </c>
      <c r="G29" s="74">
        <f>IF($G$3="Family","",ROUND($G$17-INT($G$17*40%),0))</f>
        <v>4145</v>
      </c>
      <c r="I29" s="32"/>
      <c r="J29" s="32"/>
      <c r="K29" s="32"/>
      <c r="L29" s="32"/>
      <c r="M29" s="32"/>
      <c r="N29" s="74">
        <f>IF($G$3="Family","",ROUND($G$17-ROUNDUP($G$17*40%,0),0))</f>
        <v>4144</v>
      </c>
    </row>
    <row r="30" spans="1:13" ht="12.75" customHeight="1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2.75" customHeight="1" hidden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2.75" customHeight="1" hidden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ht="15" hidden="1">
      <c r="A33" s="34"/>
    </row>
    <row r="34" spans="1:13" ht="12.75" customHeight="1" hidden="1">
      <c r="A34" s="108" t="e">
        <v>#REF!</v>
      </c>
      <c r="B34" s="108"/>
      <c r="C34" s="108"/>
      <c r="D34" s="108"/>
      <c r="E34" s="108"/>
      <c r="F34" s="108"/>
      <c r="G34" s="108"/>
      <c r="H34" s="108"/>
      <c r="I34" s="108"/>
      <c r="J34" s="108"/>
      <c r="K34" s="31"/>
      <c r="L34" s="31"/>
      <c r="M34" s="31"/>
    </row>
    <row r="35" spans="1:13" ht="12.75" customHeight="1" hidden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31"/>
      <c r="L35" s="31"/>
      <c r="M35" s="31"/>
    </row>
    <row r="36" ht="15" hidden="1">
      <c r="A36" s="34"/>
    </row>
    <row r="37" ht="15" hidden="1">
      <c r="A37" s="34"/>
    </row>
    <row r="38" ht="15" hidden="1">
      <c r="A38" s="34"/>
    </row>
    <row r="39" ht="32.25" customHeight="1">
      <c r="A39" s="34"/>
    </row>
    <row r="40" spans="1:13" ht="15">
      <c r="A40" s="111"/>
      <c r="B40" s="111"/>
      <c r="C40" s="111"/>
      <c r="E40" s="112"/>
      <c r="F40" s="112"/>
      <c r="G40" s="112"/>
      <c r="H40" s="112"/>
      <c r="I40" s="112"/>
      <c r="J40" s="112"/>
      <c r="K40" s="35"/>
      <c r="L40" s="35"/>
      <c r="M40" s="35"/>
    </row>
    <row r="41" spans="5:13" ht="13.5" customHeight="1">
      <c r="E41" s="113"/>
      <c r="F41" s="113"/>
      <c r="G41" s="113"/>
      <c r="H41" s="113"/>
      <c r="I41" s="113"/>
      <c r="J41" s="113"/>
      <c r="K41" s="25"/>
      <c r="L41" s="25"/>
      <c r="M41" s="25"/>
    </row>
    <row r="42" spans="3:7" ht="12.75">
      <c r="C42" s="36"/>
      <c r="D42" s="36"/>
      <c r="G42"/>
    </row>
    <row r="49" ht="12.75">
      <c r="G49" s="37"/>
    </row>
  </sheetData>
  <sheetProtection password="9D08" sheet="1"/>
  <mergeCells count="25">
    <mergeCell ref="B27:D27"/>
    <mergeCell ref="A29:E29"/>
    <mergeCell ref="A34:J35"/>
    <mergeCell ref="A40:C40"/>
    <mergeCell ref="E40:J40"/>
    <mergeCell ref="E41:J41"/>
    <mergeCell ref="A26:E26"/>
    <mergeCell ref="A8:E8"/>
    <mergeCell ref="G8:I8"/>
    <mergeCell ref="A10:E10"/>
    <mergeCell ref="A17:E17"/>
    <mergeCell ref="A19:B19"/>
    <mergeCell ref="A22:E22"/>
    <mergeCell ref="A23:E23"/>
    <mergeCell ref="A24:E24"/>
    <mergeCell ref="G24:I24"/>
    <mergeCell ref="A1:J1"/>
    <mergeCell ref="A2:E2"/>
    <mergeCell ref="G2:J2"/>
    <mergeCell ref="A6:E6"/>
    <mergeCell ref="G6:I6"/>
    <mergeCell ref="A7:E7"/>
    <mergeCell ref="G7:I7"/>
    <mergeCell ref="G3:H3"/>
    <mergeCell ref="A4:J4"/>
  </mergeCells>
  <dataValidations count="1">
    <dataValidation type="list" allowBlank="1" showInputMessage="1" showErrorMessage="1" sqref="G4:H4">
      <formula1>#REF!</formula1>
    </dataValidation>
  </dataValidations>
  <printOptions horizontalCentered="1" verticalCentered="1"/>
  <pageMargins left="0.7086614173228347" right="0.19" top="0.6692913385826772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Berts-pc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AMIYA</dc:creator>
  <cp:keywords/>
  <dc:description/>
  <cp:lastModifiedBy>AMIYA</cp:lastModifiedBy>
  <cp:lastPrinted>2004-12-31T19:10:03Z</cp:lastPrinted>
  <dcterms:created xsi:type="dcterms:W3CDTF">2013-06-20T07:21:45Z</dcterms:created>
  <dcterms:modified xsi:type="dcterms:W3CDTF">2004-12-31T19:24:09Z</dcterms:modified>
  <cp:category/>
  <cp:version/>
  <cp:contentType/>
  <cp:contentStatus/>
</cp:coreProperties>
</file>